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ibraries\Documents\Bell Tower Capital Management\"/>
    </mc:Choice>
  </mc:AlternateContent>
  <xr:revisionPtr revIDLastSave="0" documentId="13_ncr:1_{C0498191-C49E-4B25-99CD-E56E2CF339D5}" xr6:coauthVersionLast="45" xr6:coauthVersionMax="45" xr10:uidLastSave="{00000000-0000-0000-0000-000000000000}"/>
  <bookViews>
    <workbookView xWindow="28680" yWindow="-120" windowWidth="29040" windowHeight="17640" activeTab="1" xr2:uid="{00000000-000D-0000-FFFF-FFFF00000000}"/>
  </bookViews>
  <sheets>
    <sheet name="General Information" sheetId="4" r:id="rId1"/>
    <sheet name="Discounted Cash Flow Model" sheetId="6" r:id="rId2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2" i="4" l="1"/>
  <c r="I6" i="6"/>
  <c r="I7" i="6" s="1"/>
  <c r="B19" i="4"/>
  <c r="B8" i="4"/>
  <c r="L14" i="6" s="1"/>
  <c r="B11" i="4"/>
  <c r="B22" i="4" l="1"/>
  <c r="L11" i="4"/>
  <c r="I8" i="6"/>
  <c r="L7" i="6"/>
  <c r="L6" i="6"/>
  <c r="L8" i="6" l="1"/>
  <c r="I9" i="6"/>
  <c r="I10" i="6" l="1"/>
  <c r="L10" i="6" s="1"/>
  <c r="L9" i="6"/>
  <c r="I11" i="6" l="1"/>
  <c r="L11" i="6" s="1"/>
  <c r="L12" i="6" s="1"/>
  <c r="L13" i="6" s="1"/>
  <c r="L15" i="6" l="1"/>
  <c r="L16" i="6" s="1"/>
  <c r="L8" i="4" l="1"/>
  <c r="L7" i="4"/>
</calcChain>
</file>

<file path=xl/sharedStrings.xml><?xml version="1.0" encoding="utf-8"?>
<sst xmlns="http://schemas.openxmlformats.org/spreadsheetml/2006/main" count="78" uniqueCount="59">
  <si>
    <t>Bell Tower Capital Management</t>
  </si>
  <si>
    <t>Discounted Cash Flow Model</t>
  </si>
  <si>
    <t>Year</t>
  </si>
  <si>
    <t>TTM</t>
  </si>
  <si>
    <t>Y3</t>
  </si>
  <si>
    <t>Y2</t>
  </si>
  <si>
    <t>Y1</t>
  </si>
  <si>
    <t>Y0</t>
  </si>
  <si>
    <t>Long Term Growth Rate</t>
  </si>
  <si>
    <t>Enterprise Value ($mil)</t>
  </si>
  <si>
    <t>WACC</t>
  </si>
  <si>
    <t>Long Term Debt ($mil)</t>
  </si>
  <si>
    <t>Short Term Debt ($mil)</t>
  </si>
  <si>
    <t>Share Price</t>
  </si>
  <si>
    <t>Risk Free Rate</t>
  </si>
  <si>
    <t>Beta</t>
  </si>
  <si>
    <t>Gordon Growth Model</t>
  </si>
  <si>
    <t>Y0 Cash Flow</t>
  </si>
  <si>
    <t>Y1 Cash Flow</t>
  </si>
  <si>
    <t>Y2 Cash Flow</t>
  </si>
  <si>
    <t>Y3 Cash Flow</t>
  </si>
  <si>
    <t>Y4 Cash Flow</t>
  </si>
  <si>
    <t>Terminal Value</t>
  </si>
  <si>
    <t>Y4</t>
  </si>
  <si>
    <t>Terminal Value (adj.)</t>
  </si>
  <si>
    <t>Shares Outstanding</t>
  </si>
  <si>
    <t>Value/Share</t>
  </si>
  <si>
    <t>Margin of Safety</t>
  </si>
  <si>
    <t>Estimation of Future Cash Flows</t>
  </si>
  <si>
    <t>Current Value of Estimated Future Cash Flows</t>
  </si>
  <si>
    <t>Market Capitalization ($mil)</t>
  </si>
  <si>
    <t>Value of Equity ($mil)</t>
  </si>
  <si>
    <t>Dividend Discount Model</t>
  </si>
  <si>
    <t>Company Information</t>
  </si>
  <si>
    <t>Ticker</t>
  </si>
  <si>
    <t>General Information</t>
  </si>
  <si>
    <t>Dividends Per Share</t>
  </si>
  <si>
    <t>Dividend Yield</t>
  </si>
  <si>
    <t>DES</t>
  </si>
  <si>
    <t>BETA</t>
  </si>
  <si>
    <t xml:space="preserve">DVD </t>
  </si>
  <si>
    <t>CRP</t>
  </si>
  <si>
    <t>Total Debt</t>
  </si>
  <si>
    <t>Tax Rate</t>
  </si>
  <si>
    <t>Macroeconomic Factors</t>
  </si>
  <si>
    <t>FA 3</t>
  </si>
  <si>
    <t>FA 5</t>
  </si>
  <si>
    <t>Free Cash Flow ($mil)</t>
  </si>
  <si>
    <t>Short Term Growth Rate (5Y)</t>
  </si>
  <si>
    <t>EEO</t>
  </si>
  <si>
    <r>
      <t xml:space="preserve">Note: </t>
    </r>
    <r>
      <rPr>
        <sz val="11"/>
        <color theme="1"/>
        <rFont val="Calibri"/>
        <family val="2"/>
        <scheme val="minor"/>
      </rPr>
      <t>EEO gives analyst estimates for a variety of company metrics and growth numbers.  It is important to do your own research before accepting any numbers given by analysts.</t>
    </r>
  </si>
  <si>
    <t>Model Results</t>
  </si>
  <si>
    <t>Discounted Cash Flow</t>
  </si>
  <si>
    <t>Fair Value</t>
  </si>
  <si>
    <t>Cost of Equity</t>
  </si>
  <si>
    <t>Cost of Debt</t>
  </si>
  <si>
    <t>Expected Market Return</t>
  </si>
  <si>
    <t>Cash and Cash Equivalents</t>
  </si>
  <si>
    <t>CTSH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</si>
</sst>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%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4" xfId="0" applyBorder="1"/>
    <xf numFmtId="0" fontId="0" fillId="0" borderId="0" xfId="0" applyBorder="1"/>
    <xf numFmtId="10" fontId="0" fillId="3" borderId="0" xfId="0" applyNumberFormat="1" applyFill="1" applyBorder="1"/>
    <xf numFmtId="44" fontId="0" fillId="3" borderId="0" xfId="0" applyNumberFormat="1" applyFill="1" applyBorder="1"/>
    <xf numFmtId="44" fontId="0" fillId="2" borderId="0" xfId="0" applyNumberFormat="1" applyFill="1" applyBorder="1"/>
    <xf numFmtId="44" fontId="0" fillId="4" borderId="0" xfId="0" applyNumberForma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/>
    <xf numFmtId="0" fontId="0" fillId="6" borderId="0" xfId="0" applyFill="1" applyBorder="1"/>
    <xf numFmtId="0" fontId="0" fillId="0" borderId="7" xfId="0" applyFill="1" applyBorder="1"/>
    <xf numFmtId="44" fontId="0" fillId="3" borderId="0" xfId="0" applyNumberForma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44" fontId="0" fillId="4" borderId="5" xfId="0" applyNumberFormat="1" applyFill="1" applyBorder="1"/>
    <xf numFmtId="39" fontId="0" fillId="4" borderId="5" xfId="0" applyNumberFormat="1" applyFill="1" applyBorder="1"/>
    <xf numFmtId="10" fontId="0" fillId="4" borderId="8" xfId="0" applyNumberFormat="1" applyFill="1" applyBorder="1"/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0" xfId="0" applyFill="1" applyBorder="1" applyAlignment="1">
      <alignment vertical="center"/>
    </xf>
    <xf numFmtId="164" fontId="0" fillId="3" borderId="0" xfId="0" applyNumberForma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5" fontId="0" fillId="3" borderId="0" xfId="0" applyNumberFormat="1" applyFill="1" applyBorder="1" applyAlignment="1">
      <alignment vertical="center"/>
    </xf>
    <xf numFmtId="10" fontId="0" fillId="4" borderId="0" xfId="0" applyNumberFormat="1" applyFill="1" applyBorder="1" applyAlignment="1">
      <alignment vertical="center"/>
    </xf>
    <xf numFmtId="10" fontId="0" fillId="3" borderId="0" xfId="0" applyNumberFormat="1" applyFill="1" applyBorder="1" applyAlignment="1">
      <alignment vertical="center"/>
    </xf>
    <xf numFmtId="44" fontId="0" fillId="4" borderId="0" xfId="0" applyNumberFormat="1" applyFill="1" applyBorder="1" applyAlignment="1">
      <alignment vertical="center"/>
    </xf>
    <xf numFmtId="0" fontId="0" fillId="0" borderId="6" xfId="0" applyBorder="1" applyAlignment="1">
      <alignment vertical="center"/>
    </xf>
    <xf numFmtId="10" fontId="0" fillId="3" borderId="7" xfId="0" applyNumberFormat="1" applyFill="1" applyBorder="1" applyAlignment="1">
      <alignment vertical="center"/>
    </xf>
    <xf numFmtId="0" fontId="0" fillId="6" borderId="7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0" fontId="0" fillId="5" borderId="0" xfId="0" applyNumberForma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4" fontId="0" fillId="5" borderId="0" xfId="0" applyNumberForma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44" fontId="0" fillId="0" borderId="0" xfId="0" applyNumberFormat="1" applyBorder="1"/>
  </cellXfs>
  <cellStyles count="1"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4"/>
  <sheetViews>
    <sheetView workbookViewId="0">
      <selection activeCell="F7" sqref="F7"/>
    </sheetView>
  </sheetViews>
  <sheetFormatPr defaultRowHeight="15" x14ac:dyDescent="0.25"/>
  <cols>
    <col min="1" max="1" width="26.140625" style="11" bestFit="1" customWidth="1"/>
    <col min="2" max="2" width="18.140625" style="11" customWidth="1"/>
    <col min="3" max="3" width="9.140625" style="11" customWidth="1"/>
    <col min="4" max="4" width="1.7109375" style="11" customWidth="1"/>
    <col min="5" max="5" width="22.85546875" style="11" customWidth="1"/>
    <col min="6" max="6" width="9.140625" style="11"/>
    <col min="7" max="7" width="9.140625" style="11" customWidth="1"/>
    <col min="8" max="8" width="1.7109375" style="11" customWidth="1"/>
    <col min="9" max="16384" width="9.140625" style="11"/>
  </cols>
  <sheetData>
    <row r="1" spans="1:13" ht="28.5" x14ac:dyDescent="0.2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ht="28.5" x14ac:dyDescent="0.25">
      <c r="A2" s="47" t="s">
        <v>35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ht="6" customHeight="1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</row>
    <row r="4" spans="1:13" ht="15" customHeight="1" x14ac:dyDescent="0.25">
      <c r="A4" s="50" t="s">
        <v>33</v>
      </c>
      <c r="B4" s="40"/>
      <c r="C4" s="40"/>
      <c r="D4" s="21"/>
      <c r="E4" s="40" t="s">
        <v>44</v>
      </c>
      <c r="F4" s="40"/>
      <c r="G4" s="40"/>
      <c r="H4" s="21"/>
      <c r="I4" s="40" t="s">
        <v>51</v>
      </c>
      <c r="J4" s="40"/>
      <c r="K4" s="40"/>
      <c r="L4" s="40"/>
      <c r="M4" s="41"/>
    </row>
    <row r="5" spans="1:13" x14ac:dyDescent="0.25">
      <c r="A5" s="20" t="s">
        <v>34</v>
      </c>
      <c r="B5" s="23" t="s">
        <v>58</v>
      </c>
      <c r="C5" s="21"/>
      <c r="D5" s="21"/>
      <c r="E5" s="21" t="s">
        <v>14</v>
      </c>
      <c r="F5" s="24">
        <v>1.831E-2</v>
      </c>
      <c r="G5" s="25" t="s">
        <v>41</v>
      </c>
      <c r="H5" s="21"/>
      <c r="I5" s="21"/>
      <c r="J5" s="21"/>
      <c r="K5" s="21"/>
      <c r="L5" s="21"/>
      <c r="M5" s="22"/>
    </row>
    <row r="6" spans="1:13" x14ac:dyDescent="0.25">
      <c r="A6" s="20" t="s">
        <v>13</v>
      </c>
      <c r="B6" s="15">
        <v>63.38</v>
      </c>
      <c r="C6" s="25" t="s">
        <v>38</v>
      </c>
      <c r="D6" s="21"/>
      <c r="E6" s="21" t="s">
        <v>56</v>
      </c>
      <c r="F6" s="30">
        <v>8.5400000000000004E-2</v>
      </c>
      <c r="G6" s="25" t="s">
        <v>41</v>
      </c>
      <c r="H6" s="21"/>
      <c r="I6" s="40" t="s">
        <v>52</v>
      </c>
      <c r="J6" s="40"/>
      <c r="K6" s="40"/>
      <c r="L6" s="40"/>
      <c r="M6" s="41"/>
    </row>
    <row r="7" spans="1:13" x14ac:dyDescent="0.25">
      <c r="A7" s="20" t="s">
        <v>30</v>
      </c>
      <c r="B7" s="15">
        <v>34707</v>
      </c>
      <c r="C7" s="25" t="s">
        <v>38</v>
      </c>
      <c r="D7" s="21"/>
      <c r="E7" s="21"/>
      <c r="F7" s="21"/>
      <c r="G7" s="21"/>
      <c r="H7" s="21"/>
      <c r="I7" s="37" t="s">
        <v>53</v>
      </c>
      <c r="J7" s="37"/>
      <c r="K7" s="37"/>
      <c r="L7" s="42">
        <f>'Discounted Cash Flow Model'!L15</f>
        <v>80.498868755333362</v>
      </c>
      <c r="M7" s="39"/>
    </row>
    <row r="8" spans="1:13" x14ac:dyDescent="0.25">
      <c r="A8" s="20" t="s">
        <v>25</v>
      </c>
      <c r="B8" s="26">
        <f>B7*1000000/B6</f>
        <v>547601767.11896491</v>
      </c>
      <c r="C8" s="27"/>
      <c r="D8" s="21"/>
      <c r="E8" s="21"/>
      <c r="F8" s="21"/>
      <c r="G8" s="21"/>
      <c r="H8" s="21"/>
      <c r="I8" s="37" t="s">
        <v>27</v>
      </c>
      <c r="J8" s="37"/>
      <c r="K8" s="37"/>
      <c r="L8" s="38">
        <f>'Discounted Cash Flow Model'!L16</f>
        <v>0.21265974317433087</v>
      </c>
      <c r="M8" s="39"/>
    </row>
    <row r="9" spans="1:13" x14ac:dyDescent="0.25">
      <c r="A9" s="20" t="s">
        <v>15</v>
      </c>
      <c r="B9" s="28">
        <v>0.93</v>
      </c>
      <c r="C9" s="25" t="s">
        <v>39</v>
      </c>
      <c r="D9" s="21"/>
      <c r="E9" s="21"/>
      <c r="F9" s="21"/>
      <c r="G9" s="21"/>
      <c r="H9" s="21"/>
      <c r="I9" s="21"/>
      <c r="J9" s="21"/>
      <c r="K9" s="21"/>
      <c r="L9" s="21"/>
      <c r="M9" s="22"/>
    </row>
    <row r="10" spans="1:13" x14ac:dyDescent="0.25">
      <c r="A10" s="20" t="s">
        <v>36</v>
      </c>
      <c r="B10" s="15">
        <v>0.8</v>
      </c>
      <c r="C10" s="25" t="s">
        <v>40</v>
      </c>
      <c r="D10" s="21"/>
      <c r="E10" s="21"/>
      <c r="F10" s="21"/>
      <c r="G10" s="21"/>
      <c r="H10" s="21"/>
      <c r="I10" s="40" t="s">
        <v>32</v>
      </c>
      <c r="J10" s="40"/>
      <c r="K10" s="40"/>
      <c r="L10" s="40"/>
      <c r="M10" s="41"/>
    </row>
    <row r="11" spans="1:13" x14ac:dyDescent="0.25">
      <c r="A11" s="20" t="s">
        <v>37</v>
      </c>
      <c r="B11" s="29">
        <f>B10/B6</f>
        <v>1.2622278321236984E-2</v>
      </c>
      <c r="C11" s="21"/>
      <c r="D11" s="21"/>
      <c r="E11" s="21"/>
      <c r="F11" s="21"/>
      <c r="G11" s="21"/>
      <c r="H11" s="21"/>
      <c r="I11" s="37" t="s">
        <v>53</v>
      </c>
      <c r="J11" s="37"/>
      <c r="K11" s="37"/>
      <c r="L11" s="43" t="e">
        <f>#REF!</f>
        <v>#REF!</v>
      </c>
      <c r="M11" s="39"/>
    </row>
    <row r="12" spans="1:13" x14ac:dyDescent="0.25">
      <c r="A12" s="20"/>
      <c r="B12" s="21"/>
      <c r="C12" s="21"/>
      <c r="D12" s="21"/>
      <c r="E12" s="21"/>
      <c r="F12" s="21"/>
      <c r="G12" s="21"/>
      <c r="H12" s="21"/>
      <c r="I12" s="37" t="s">
        <v>27</v>
      </c>
      <c r="J12" s="37"/>
      <c r="K12" s="37"/>
      <c r="L12" s="38" t="e">
        <f>#REF!</f>
        <v>#REF!</v>
      </c>
      <c r="M12" s="39"/>
    </row>
    <row r="13" spans="1:13" x14ac:dyDescent="0.25">
      <c r="A13" s="20" t="s">
        <v>10</v>
      </c>
      <c r="B13" s="30">
        <v>7.8E-2</v>
      </c>
      <c r="C13" s="25" t="s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2"/>
    </row>
    <row r="14" spans="1:13" x14ac:dyDescent="0.25">
      <c r="A14" s="20" t="s">
        <v>54</v>
      </c>
      <c r="B14" s="30">
        <v>8.1000000000000003E-2</v>
      </c>
      <c r="C14" s="25" t="s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2"/>
    </row>
    <row r="15" spans="1:13" x14ac:dyDescent="0.25">
      <c r="A15" s="20" t="s">
        <v>55</v>
      </c>
      <c r="B15" s="30">
        <v>1.9E-2</v>
      </c>
      <c r="C15" s="25" t="s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2"/>
    </row>
    <row r="16" spans="1:13" x14ac:dyDescent="0.25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2"/>
    </row>
    <row r="17" spans="1:13" x14ac:dyDescent="0.25">
      <c r="A17" s="20" t="s">
        <v>12</v>
      </c>
      <c r="B17" s="15">
        <v>9</v>
      </c>
      <c r="C17" s="25" t="s">
        <v>45</v>
      </c>
      <c r="D17" s="21"/>
      <c r="E17" s="21"/>
      <c r="F17" s="21"/>
      <c r="G17" s="21"/>
      <c r="H17" s="21"/>
      <c r="I17" s="21"/>
      <c r="J17" s="21"/>
      <c r="K17" s="21"/>
      <c r="L17" s="21"/>
      <c r="M17" s="22"/>
    </row>
    <row r="18" spans="1:13" x14ac:dyDescent="0.25">
      <c r="A18" s="20" t="s">
        <v>11</v>
      </c>
      <c r="B18" s="15">
        <v>736</v>
      </c>
      <c r="C18" s="25" t="s">
        <v>45</v>
      </c>
      <c r="D18" s="21"/>
      <c r="E18" s="21"/>
      <c r="F18" s="21"/>
      <c r="G18" s="21"/>
      <c r="H18" s="21"/>
      <c r="I18" s="21"/>
      <c r="J18" s="21"/>
      <c r="K18" s="21"/>
      <c r="L18" s="21"/>
      <c r="M18" s="22"/>
    </row>
    <row r="19" spans="1:13" x14ac:dyDescent="0.25">
      <c r="A19" s="20" t="s">
        <v>42</v>
      </c>
      <c r="B19" s="31">
        <f>B17+B18</f>
        <v>745</v>
      </c>
      <c r="C19" s="27"/>
      <c r="D19" s="21"/>
      <c r="E19" s="21"/>
      <c r="F19" s="21"/>
      <c r="G19" s="21"/>
      <c r="H19" s="21"/>
      <c r="I19" s="21"/>
      <c r="J19" s="21"/>
      <c r="K19" s="21"/>
      <c r="L19" s="21"/>
      <c r="M19" s="22"/>
    </row>
    <row r="20" spans="1:13" x14ac:dyDescent="0.2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2"/>
    </row>
    <row r="21" spans="1:13" x14ac:dyDescent="0.25">
      <c r="A21" s="20" t="s">
        <v>57</v>
      </c>
      <c r="B21" s="15">
        <v>4511</v>
      </c>
      <c r="C21" s="25" t="s">
        <v>45</v>
      </c>
      <c r="D21" s="21"/>
      <c r="E21" s="21"/>
      <c r="F21" s="21"/>
      <c r="G21" s="21"/>
      <c r="H21" s="21"/>
      <c r="I21" s="21"/>
      <c r="J21" s="21"/>
      <c r="K21" s="21"/>
      <c r="L21" s="21"/>
      <c r="M21" s="22"/>
    </row>
    <row r="22" spans="1:13" x14ac:dyDescent="0.25">
      <c r="A22" s="20" t="s">
        <v>9</v>
      </c>
      <c r="B22" s="31">
        <f>B19+B7-B21</f>
        <v>30941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2"/>
    </row>
    <row r="23" spans="1:13" x14ac:dyDescent="0.25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2"/>
    </row>
    <row r="24" spans="1:13" x14ac:dyDescent="0.25">
      <c r="A24" s="32" t="s">
        <v>43</v>
      </c>
      <c r="B24" s="33">
        <v>0.24959999999999999</v>
      </c>
      <c r="C24" s="34" t="s">
        <v>46</v>
      </c>
      <c r="D24" s="35"/>
      <c r="E24" s="35"/>
      <c r="F24" s="35"/>
      <c r="G24" s="35"/>
      <c r="H24" s="35"/>
      <c r="I24" s="35"/>
      <c r="J24" s="35"/>
      <c r="K24" s="35"/>
      <c r="L24" s="35"/>
      <c r="M24" s="36"/>
    </row>
  </sheetData>
  <mergeCells count="15">
    <mergeCell ref="A1:M1"/>
    <mergeCell ref="A2:M2"/>
    <mergeCell ref="A4:C4"/>
    <mergeCell ref="E4:G4"/>
    <mergeCell ref="I4:M4"/>
    <mergeCell ref="I12:K12"/>
    <mergeCell ref="L12:M12"/>
    <mergeCell ref="L8:M8"/>
    <mergeCell ref="I6:M6"/>
    <mergeCell ref="I7:K7"/>
    <mergeCell ref="L7:M7"/>
    <mergeCell ref="I10:M10"/>
    <mergeCell ref="I11:K11"/>
    <mergeCell ref="L11:M11"/>
    <mergeCell ref="I8:K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6"/>
  <sheetViews>
    <sheetView tabSelected="1" workbookViewId="0">
      <selection activeCell="I23" sqref="I23"/>
    </sheetView>
  </sheetViews>
  <sheetFormatPr defaultRowHeight="15" x14ac:dyDescent="0.25"/>
  <cols>
    <col min="1" max="1" width="9.140625" style="2"/>
    <col min="2" max="2" width="20.28515625" style="2" bestFit="1" customWidth="1"/>
    <col min="3" max="3" width="1.7109375" style="2" customWidth="1"/>
    <col min="4" max="4" width="26.5703125" style="2" bestFit="1" customWidth="1"/>
    <col min="5" max="5" width="11.85546875" style="2" customWidth="1"/>
    <col min="6" max="6" width="9.140625" style="2"/>
    <col min="7" max="7" width="1.7109375" style="12" customWidth="1"/>
    <col min="8" max="9" width="18.28515625" style="2" customWidth="1"/>
    <col min="10" max="10" width="1.7109375" style="2" customWidth="1"/>
    <col min="11" max="11" width="25.7109375" style="2" customWidth="1"/>
    <col min="12" max="12" width="18.28515625" style="2" customWidth="1"/>
    <col min="13" max="13" width="9.140625" style="2"/>
    <col min="14" max="14" width="10.5703125" style="2" bestFit="1" customWidth="1"/>
    <col min="15" max="16384" width="9.140625" style="2"/>
  </cols>
  <sheetData>
    <row r="1" spans="1:15" ht="28.5" x14ac:dyDescent="0.2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  <c r="M1" s="16"/>
      <c r="N1" s="16"/>
      <c r="O1" s="16"/>
    </row>
    <row r="2" spans="1:15" ht="28.5" x14ac:dyDescent="0.25">
      <c r="A2" s="47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  <c r="M2" s="10"/>
      <c r="N2" s="10"/>
      <c r="O2" s="10"/>
    </row>
    <row r="3" spans="1:15" ht="6" customHeight="1" x14ac:dyDescent="0.25">
      <c r="A3" s="1"/>
      <c r="L3" s="7"/>
    </row>
    <row r="4" spans="1:15" x14ac:dyDescent="0.25">
      <c r="A4" s="1" t="s">
        <v>2</v>
      </c>
      <c r="B4" s="2" t="s">
        <v>47</v>
      </c>
      <c r="D4" s="2" t="s">
        <v>48</v>
      </c>
      <c r="E4" s="3">
        <v>0.05</v>
      </c>
      <c r="F4" s="13" t="s">
        <v>49</v>
      </c>
      <c r="H4" s="51" t="s">
        <v>16</v>
      </c>
      <c r="I4" s="51"/>
      <c r="K4" s="51" t="s">
        <v>1</v>
      </c>
      <c r="L4" s="54"/>
    </row>
    <row r="5" spans="1:15" x14ac:dyDescent="0.25">
      <c r="A5" s="1" t="s">
        <v>7</v>
      </c>
      <c r="B5" s="5">
        <v>1914</v>
      </c>
      <c r="H5" s="52" t="s">
        <v>28</v>
      </c>
      <c r="I5" s="52"/>
      <c r="K5" s="52" t="s">
        <v>29</v>
      </c>
      <c r="L5" s="55"/>
    </row>
    <row r="6" spans="1:15" x14ac:dyDescent="0.25">
      <c r="A6" s="1" t="s">
        <v>6</v>
      </c>
      <c r="B6" s="5">
        <v>1345</v>
      </c>
      <c r="D6" s="2" t="s">
        <v>8</v>
      </c>
      <c r="E6" s="3">
        <v>2.5000000000000001E-2</v>
      </c>
      <c r="F6" s="13" t="s">
        <v>49</v>
      </c>
      <c r="H6" s="2" t="s">
        <v>17</v>
      </c>
      <c r="I6" s="6">
        <f>B9*(1+$E$4)</f>
        <v>1961.4</v>
      </c>
      <c r="K6" s="2" t="s">
        <v>7</v>
      </c>
      <c r="L6" s="17">
        <f>I6/((1+'General Information'!$B$13)^1)</f>
        <v>1819.4805194805194</v>
      </c>
      <c r="N6" s="56"/>
    </row>
    <row r="7" spans="1:15" x14ac:dyDescent="0.25">
      <c r="A7" s="1" t="s">
        <v>5</v>
      </c>
      <c r="B7" s="5">
        <v>2123</v>
      </c>
      <c r="H7" s="2" t="s">
        <v>18</v>
      </c>
      <c r="I7" s="6">
        <f>I6*(1+$E$4)</f>
        <v>2059.4700000000003</v>
      </c>
      <c r="K7" s="2" t="s">
        <v>6</v>
      </c>
      <c r="L7" s="17">
        <f>I7/((1+'General Information'!$B$13)^2)</f>
        <v>1772.2212852082982</v>
      </c>
    </row>
    <row r="8" spans="1:15" ht="15" customHeight="1" x14ac:dyDescent="0.25">
      <c r="A8" s="1" t="s">
        <v>4</v>
      </c>
      <c r="B8" s="5">
        <v>2215</v>
      </c>
      <c r="D8" s="53" t="s">
        <v>50</v>
      </c>
      <c r="E8" s="53"/>
      <c r="F8" s="53"/>
      <c r="H8" s="2" t="s">
        <v>19</v>
      </c>
      <c r="I8" s="6">
        <f t="shared" ref="I8:I10" si="0">I7*(1+$E$4)</f>
        <v>2162.4435000000003</v>
      </c>
      <c r="K8" s="2" t="s">
        <v>5</v>
      </c>
      <c r="L8" s="17">
        <f>I8/((1+'General Information'!$B$13)^4)</f>
        <v>1601.2890199578628</v>
      </c>
    </row>
    <row r="9" spans="1:15" x14ac:dyDescent="0.25">
      <c r="A9" s="1" t="s">
        <v>3</v>
      </c>
      <c r="B9" s="4">
        <v>1868</v>
      </c>
      <c r="D9" s="53"/>
      <c r="E9" s="53"/>
      <c r="F9" s="53"/>
      <c r="H9" s="2" t="s">
        <v>20</v>
      </c>
      <c r="I9" s="6">
        <f t="shared" si="0"/>
        <v>2270.5656750000003</v>
      </c>
      <c r="K9" s="2" t="s">
        <v>4</v>
      </c>
      <c r="L9" s="17">
        <f>I9/((1+'General Information'!$B$13)^3)</f>
        <v>1812.4990416903049</v>
      </c>
    </row>
    <row r="10" spans="1:15" x14ac:dyDescent="0.25">
      <c r="A10" s="1"/>
      <c r="D10" s="53"/>
      <c r="E10" s="53"/>
      <c r="F10" s="53"/>
      <c r="H10" s="2" t="s">
        <v>21</v>
      </c>
      <c r="I10" s="6">
        <f t="shared" si="0"/>
        <v>2384.0939587500002</v>
      </c>
      <c r="K10" s="2" t="s">
        <v>23</v>
      </c>
      <c r="L10" s="17">
        <f>I10/((1+'General Information'!$B$13)^5)</f>
        <v>1637.6819522296321</v>
      </c>
    </row>
    <row r="11" spans="1:15" x14ac:dyDescent="0.25">
      <c r="A11" s="1"/>
      <c r="D11" s="53"/>
      <c r="E11" s="53"/>
      <c r="F11" s="53"/>
      <c r="H11" s="2" t="s">
        <v>22</v>
      </c>
      <c r="I11" s="6">
        <f>I10*(1+$E$6)/('General Information'!$B$13-'Discounted Cash Flow Model'!E6)</f>
        <v>46107.477504127361</v>
      </c>
      <c r="K11" s="2" t="s">
        <v>24</v>
      </c>
      <c r="L11" s="17">
        <f>I11/((1+'General Information'!$B$13)^5)</f>
        <v>31672.150962931562</v>
      </c>
    </row>
    <row r="12" spans="1:15" x14ac:dyDescent="0.25">
      <c r="A12" s="1"/>
      <c r="K12" s="2" t="s">
        <v>9</v>
      </c>
      <c r="L12" s="17">
        <f>SUM(L6:L11)</f>
        <v>40315.32278149818</v>
      </c>
    </row>
    <row r="13" spans="1:15" x14ac:dyDescent="0.25">
      <c r="A13" s="1"/>
      <c r="K13" s="2" t="s">
        <v>31</v>
      </c>
      <c r="L13" s="17">
        <f>L12-'General Information'!$B$19+'General Information'!B21</f>
        <v>44081.32278149818</v>
      </c>
    </row>
    <row r="14" spans="1:15" x14ac:dyDescent="0.25">
      <c r="A14" s="1"/>
      <c r="K14" s="2" t="s">
        <v>25</v>
      </c>
      <c r="L14" s="18">
        <f>'General Information'!B8</f>
        <v>547601767.11896491</v>
      </c>
    </row>
    <row r="15" spans="1:15" x14ac:dyDescent="0.25">
      <c r="A15" s="1"/>
      <c r="K15" s="2" t="s">
        <v>26</v>
      </c>
      <c r="L15" s="17">
        <f>(L13*1000000)/L14</f>
        <v>80.498868755333362</v>
      </c>
    </row>
    <row r="16" spans="1:15" x14ac:dyDescent="0.25">
      <c r="A16" s="8"/>
      <c r="B16" s="9"/>
      <c r="C16" s="9"/>
      <c r="D16" s="9"/>
      <c r="E16" s="9"/>
      <c r="F16" s="9"/>
      <c r="G16" s="14"/>
      <c r="H16" s="9"/>
      <c r="I16" s="9"/>
      <c r="J16" s="9"/>
      <c r="K16" s="9" t="s">
        <v>27</v>
      </c>
      <c r="L16" s="19">
        <f>(L15-'General Information'!B6)/L15</f>
        <v>0.21265974317433087</v>
      </c>
    </row>
  </sheetData>
  <mergeCells count="7">
    <mergeCell ref="A1:L1"/>
    <mergeCell ref="A2:L2"/>
    <mergeCell ref="H4:I4"/>
    <mergeCell ref="H5:I5"/>
    <mergeCell ref="D8:F11"/>
    <mergeCell ref="K4:L4"/>
    <mergeCell ref="K5:L5"/>
  </mergeCells>
  <conditionalFormatting sqref="L16">
    <cfRule type="cellIs" dxfId="5" priority="1" operator="lessThan">
      <formula>0</formula>
    </cfRule>
    <cfRule type="cellIs" dxfId="4" priority="2" operator="greaterThan">
      <formula>0</formula>
    </cfRule>
    <cfRule type="cellIs" dxfId="3" priority="5" operator="lessThan">
      <formula>0</formula>
    </cfRule>
    <cfRule type="cellIs" dxfId="2" priority="6" operator="greaterThan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lessThan" id="{82DD77B6-72C9-4C2B-9C83-7F37D0B6630F}">
            <xm:f>'General Information'!$B$6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greaterThan" id="{42E5EA45-8E97-4279-86B2-FDC49C0EBE57}">
            <xm:f>'General Information'!$B$6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L15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 Information</vt:lpstr>
      <vt:lpstr>Discounted Cash Flow 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Sabo</dc:creator>
  <cp:lastModifiedBy>Matt Sabo</cp:lastModifiedBy>
  <dcterms:created xsi:type="dcterms:W3CDTF">2018-11-08T01:45:53Z</dcterms:created>
  <dcterms:modified xsi:type="dcterms:W3CDTF">2020-01-25T05:41:28Z</dcterms:modified>
</cp:coreProperties>
</file>